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צוות אלטשולר\הוצאות ישירות\אחים ואחיות\2023\רבעון 4\דוחות שנתיים\סופי לאחר עדכון צד קשור\"/>
    </mc:Choice>
  </mc:AlternateContent>
  <xr:revisionPtr revIDLastSave="0" documentId="13_ncr:1_{11FEA00D-933A-485A-94FD-9B52CD4433E1}" xr6:coauthVersionLast="36" xr6:coauthVersionMax="36" xr10:uidLastSave="{00000000-0000-0000-0000-000000000000}"/>
  <bookViews>
    <workbookView xWindow="0" yWindow="0" windowWidth="14370" windowHeight="7380" xr2:uid="{5ED27CF3-C2C1-4DC5-A02C-3A0CD606B277}"/>
  </bookViews>
  <sheets>
    <sheet name="נספח 1" sheetId="1" r:id="rId1"/>
    <sheet name="נספח 2" sheetId="2" r:id="rId2"/>
    <sheet name="נספח 3" sheetId="3" r:id="rId3"/>
    <sheet name="כללי" sheetId="4" r:id="rId4"/>
    <sheet name="ללא מניות" sheetId="5" r:id="rId5"/>
  </sheets>
  <externalReferences>
    <externalReference r:id="rId6"/>
  </externalReferences>
  <definedNames>
    <definedName name="comp_name">'[1]הפעלה דוח הוצאות ישירות'!$D$3</definedName>
    <definedName name="SUG_MUZAR">'[1]הפעלה דוח הוצאות ישירות'!$D$4</definedName>
    <definedName name="to_date">'[1]הפעלה דוח הוצאות ישירות'!$D$5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31" i="4"/>
  <c r="D24" i="2" l="1"/>
  <c r="D23" i="4" l="1"/>
  <c r="D75" i="3"/>
  <c r="D63" i="3" l="1"/>
  <c r="D56" i="3"/>
  <c r="D86" i="3"/>
  <c r="D68" i="3"/>
  <c r="D10" i="2"/>
  <c r="D29" i="1"/>
  <c r="D28" i="1"/>
  <c r="D25" i="1"/>
  <c r="D24" i="1"/>
  <c r="D23" i="1"/>
  <c r="D22" i="1"/>
  <c r="D21" i="1"/>
  <c r="D20" i="1"/>
  <c r="D19" i="1"/>
  <c r="D18" i="1"/>
  <c r="D17" i="1"/>
  <c r="D14" i="1"/>
  <c r="D13" i="1"/>
  <c r="D9" i="1"/>
  <c r="D8" i="1"/>
  <c r="D5" i="1"/>
  <c r="D4" i="1"/>
  <c r="D18" i="2"/>
  <c r="D19" i="2"/>
  <c r="D8" i="2"/>
  <c r="D85" i="3"/>
  <c r="D84" i="3"/>
  <c r="D81" i="3"/>
  <c r="D80" i="3"/>
  <c r="D79" i="3"/>
  <c r="D78" i="3"/>
  <c r="D77" i="3"/>
  <c r="D76" i="3"/>
  <c r="D74" i="3"/>
  <c r="D69" i="3"/>
  <c r="D67" i="3"/>
  <c r="D87" i="3" l="1"/>
  <c r="D60" i="3"/>
  <c r="D59" i="3"/>
  <c r="D58" i="3"/>
  <c r="D22" i="5"/>
  <c r="D5" i="5"/>
  <c r="D25" i="4"/>
  <c r="D24" i="4"/>
  <c r="D22" i="4"/>
  <c r="D9" i="4"/>
  <c r="D37" i="1" l="1"/>
  <c r="D41" i="1"/>
  <c r="D39" i="1"/>
  <c r="D37" i="5"/>
  <c r="D37" i="4"/>
  <c r="D7" i="1" l="1"/>
  <c r="D11" i="5"/>
  <c r="D7" i="5"/>
  <c r="D3" i="5"/>
  <c r="D27" i="4"/>
  <c r="D11" i="4"/>
  <c r="D7" i="4"/>
  <c r="D3" i="4"/>
  <c r="D72" i="3"/>
  <c r="D55" i="3"/>
  <c r="D57" i="3"/>
  <c r="D64" i="3" s="1"/>
  <c r="D44" i="3"/>
  <c r="D19" i="4" s="1"/>
  <c r="D18" i="3"/>
  <c r="D45" i="3" l="1"/>
  <c r="D17" i="4"/>
  <c r="D16" i="1"/>
  <c r="D34" i="1" s="1"/>
  <c r="D16" i="4"/>
  <c r="D34" i="4" s="1"/>
  <c r="D88" i="3"/>
  <c r="D16" i="5"/>
  <c r="D34" i="5" s="1"/>
  <c r="D3" i="1"/>
  <c r="D12" i="2"/>
  <c r="D6" i="2"/>
  <c r="D35" i="4" l="1"/>
  <c r="D31" i="1"/>
  <c r="D35" i="1" s="1"/>
  <c r="D13" i="2"/>
  <c r="D37" i="2" s="1"/>
  <c r="D31" i="5"/>
  <c r="D35" i="5" l="1"/>
</calcChain>
</file>

<file path=xl/sharedStrings.xml><?xml version="1.0" encoding="utf-8"?>
<sst xmlns="http://schemas.openxmlformats.org/spreadsheetml/2006/main" count="256" uniqueCount="149">
  <si>
    <t>נספח 1 - אחים ואחיות - קרן השתלמות -  סך התשלומים ששולמו בגין כל סוג של הוצאה ישירה לשנה המסתיימת ביום 31/12/2023</t>
  </si>
  <si>
    <t>תאור</t>
  </si>
  <si>
    <t>אלפי ש''ח</t>
  </si>
  <si>
    <t>1. סהכ עמלות קניה ומכירה</t>
  </si>
  <si>
    <t>א. סך עמלות ברוקראז לצדדים קשורים</t>
  </si>
  <si>
    <t>ב. סך עמלות ברוקראז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</si>
  <si>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</si>
  <si>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</si>
  <si>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</si>
  <si>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הוצאות מהשקעות לא סחירות</t>
  </si>
  <si>
    <t>א. סך הוצאות הנובעות מהשקעה בניירות ערך לא סחירים שאינם לצורך מימון פרויקטים לתשתיות</t>
  </si>
  <si>
    <t>ב. סך הוצאות הנובעות ממימון פרויקטים לתשתיות</t>
  </si>
  <si>
    <t>ג. סך הוצאות הנובעות מהשקעה בזכויות במקרקעין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</si>
  <si>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</si>
  <si>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</si>
  <si>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 - צד קשור</t>
  </si>
  <si>
    <t>ג. סך תשלומים הנובעים מהשקעה בקרנות השקעה בחו"ל</t>
  </si>
  <si>
    <t>ד. סך תשלומים למנהלי תיקים ישראלים בגין השקעה בחו"ל</t>
  </si>
  <si>
    <t xml:space="preserve">ה. סך תשלומים למנהלי תיקים זרים </t>
  </si>
  <si>
    <t>ו. סך תשלומים בגין השקעה בתעודות סל ישראליות</t>
  </si>
  <si>
    <t>ז. סך תשלומים בגין השקעה בתעודות סל זרות</t>
  </si>
  <si>
    <t>ח. סך תשלומים בגין השקעה בקרנות נאמנות ישראליות - צד קשור</t>
  </si>
  <si>
    <t>ט.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</si>
  <si>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</si>
  <si>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</si>
  <si>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</si>
  <si>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סה"כ הוצאות ישירות (סיכום סעיפים 1 עד 5)</t>
  </si>
  <si>
    <t>7. שיעור הוצאות ישירות</t>
  </si>
  <si>
    <t>א. שיעור סך ההוצאות הישירות, שההוצאה בגינן מוגבלת לשיעור של 0.25 לפי התקנות (באחוזים) (סיכום סעיפים 3א, 4, 5ב חלקי סך נכסים לסוף שנה קודמת)</t>
  </si>
  <si>
    <t>ב. שיעור סך הוצאות ישירות מסך נכסים לסוף שנה קודמת (באחוזים) (סעיף 6 חלקי סך נכסים לסוף שנה קודמת)</t>
  </si>
  <si>
    <t>8. יתרת נכסים ממוצעת באלפי ₪</t>
  </si>
  <si>
    <t>יתרת נכסים לסוף תקופה</t>
  </si>
  <si>
    <t>יתרת נכסים לסוף שנה קודמת</t>
  </si>
  <si>
    <t>נספח 2 - אחים ואחיות - קרן השתלמות - פרוט עמלות והוצאות לשנה המסתיימת ביום 31/12/2023</t>
  </si>
  <si>
    <t>ברוקראז-עמלות קניה ומכירה בגין עסקאות בניע סחירים</t>
  </si>
  <si>
    <t/>
  </si>
  <si>
    <t>צדדים קשורים</t>
  </si>
  <si>
    <t>מיטב 5018</t>
  </si>
  <si>
    <t>סה"כ לצדדים  קשורים</t>
  </si>
  <si>
    <t>צדדים שאינם קשורים</t>
  </si>
  <si>
    <t>ברוקר זר</t>
  </si>
  <si>
    <t>בנק לאומי</t>
  </si>
  <si>
    <t>CAMALIA</t>
  </si>
  <si>
    <t>בנק מזרחי</t>
  </si>
  <si>
    <t>סה"כ לצדדים שאינם קשורים</t>
  </si>
  <si>
    <t>סך עמלות ברוקראז</t>
  </si>
  <si>
    <t>עמלות קסטודיאן</t>
  </si>
  <si>
    <t>סה"כ לצדדים קשורים</t>
  </si>
  <si>
    <t>צדדים שאינם  קשורים</t>
  </si>
  <si>
    <t>סה"כ לצדדים שאינם  קשורים</t>
  </si>
  <si>
    <t>סך עמלות קסטודיאן</t>
  </si>
  <si>
    <t>הוצאות הנובעת מהשקעה בניע לא סחירים או ממתן הלוואה</t>
  </si>
  <si>
    <t>גוף/יחיד א</t>
  </si>
  <si>
    <t>אחרים</t>
  </si>
  <si>
    <t>סך הוצאות הנובעת מהשקעה בניע לא סחירים או ממתן הלוואה</t>
  </si>
  <si>
    <t>הוצאה הנובעת מהשקעה בזכויות במקרקעין</t>
  </si>
  <si>
    <t>סך הוצאות הנובעת מהשקעה בזכויות מקרקעין</t>
  </si>
  <si>
    <t>הוצאה הנובעת בעד ניהול תביעה או תובענה</t>
  </si>
  <si>
    <t>סך הוצאות בעד ניהול תביעה או תובענה</t>
  </si>
  <si>
    <t>הוצאה הנובעת ממתן משכנתא</t>
  </si>
  <si>
    <t>סך הוצאות הנובעת ממתן משכנתא</t>
  </si>
  <si>
    <t>סך הכל עמלות והוצאות</t>
  </si>
  <si>
    <t xml:space="preserve"> יתרת נכסים ממוצעת באלפי ₪</t>
  </si>
  <si>
    <t>נספח 3 - אחים ואחיות - קרן השתלמות - פירוט עמלות ניהול חיצוני לשנה המסתיימת ביום 31/12/2023</t>
  </si>
  <si>
    <t>אלפי שח</t>
  </si>
  <si>
    <t>קרן רוטשילד נדל"ן</t>
  </si>
  <si>
    <t>DOVER STREET IX</t>
  </si>
  <si>
    <t>ALTO III</t>
  </si>
  <si>
    <t>קוגיטו קפיטל אס.אם.אי שותפות מוגבלת</t>
  </si>
  <si>
    <t>קרן נוקד אקוויטי שותפות מוגבלת</t>
  </si>
  <si>
    <t>IBI CONSUMER CR</t>
  </si>
  <si>
    <t>ISF II, LP</t>
  </si>
  <si>
    <t>ICG STRATEGIC SEC FUND II</t>
  </si>
  <si>
    <t xml:space="preserve">קוגיטו קפיטל משלימה </t>
  </si>
  <si>
    <t>BLUE ATLANTIC PARTNERS II</t>
  </si>
  <si>
    <t xml:space="preserve"> ARBEL </t>
  </si>
  <si>
    <t xml:space="preserve">אלפא קרן הזדמנויות </t>
  </si>
  <si>
    <t>קרן MIGS</t>
  </si>
  <si>
    <t>ION</t>
  </si>
  <si>
    <t>InfraRed V</t>
  </si>
  <si>
    <t>IBI SBL</t>
  </si>
  <si>
    <t>ICG SSF III</t>
  </si>
  <si>
    <t>Colchis</t>
  </si>
  <si>
    <t>Klirmark Opportunity fund  III</t>
  </si>
  <si>
    <t>Cvc Strategic II</t>
  </si>
  <si>
    <t>Noked Opportunity</t>
  </si>
  <si>
    <t>Terra Gen</t>
  </si>
  <si>
    <t>Gatewood II</t>
  </si>
  <si>
    <t>FIMI VII</t>
  </si>
  <si>
    <t>HarbourVest Direct Lending (L) Feeder Fund</t>
  </si>
  <si>
    <t>ארבל 2</t>
  </si>
  <si>
    <t>SKY 4</t>
  </si>
  <si>
    <t>Electra America  Hospitality</t>
  </si>
  <si>
    <t>MORE 1L Alternative Credit Fund</t>
  </si>
  <si>
    <t>Penfund Capital Fund VII</t>
  </si>
  <si>
    <t>SCHRODERS</t>
  </si>
  <si>
    <t>Allianz</t>
  </si>
  <si>
    <t>PGIF IV Feeder (Luxembourg) SCSp</t>
  </si>
  <si>
    <t>Hamilton Lane Equity Opportunities Fund V-B LP</t>
  </si>
  <si>
    <t>KLIRMARK IV</t>
  </si>
  <si>
    <t>IBI EVO מלונאות</t>
  </si>
  <si>
    <t>Fortissimo VI</t>
  </si>
  <si>
    <t>סך תשלומים הנובעים מהשקעה בקרנות השקעה</t>
  </si>
  <si>
    <t>תשלום למנהל תיקים ישראלי</t>
  </si>
  <si>
    <t>סך תשלום למנהל תיקים ישראלי</t>
  </si>
  <si>
    <t>תשלום למנהל תיקים זר</t>
  </si>
  <si>
    <t>סך תשלום למנהל תיקים זר</t>
  </si>
  <si>
    <t xml:space="preserve">תשלום בגין קרנות נאמנות </t>
  </si>
  <si>
    <t>קרן נאמנות ישראלית</t>
  </si>
  <si>
    <t>אי בי אי ניהול קרנות נאמנות בע"מ</t>
  </si>
  <si>
    <t>קרן חוץ</t>
  </si>
  <si>
    <t>Kotak</t>
  </si>
  <si>
    <t>COMGEST SA</t>
  </si>
  <si>
    <t>PRINCIPAL FINANCIAL</t>
  </si>
  <si>
    <t>Aviva Investors Luxembourg SA</t>
  </si>
  <si>
    <t>סך תשלומים בגין השקעה בקרנות נאמנות</t>
  </si>
  <si>
    <t>תשלום בגין השקעה בתעודות סל</t>
  </si>
  <si>
    <t>תעודות סל ישראליות</t>
  </si>
  <si>
    <t>קסם קרנות נאמנות בע"מ</t>
  </si>
  <si>
    <t>מגדל קרנות נאמנות בע"מ</t>
  </si>
  <si>
    <t>הראל קרנות נאמנות בע"מ</t>
  </si>
  <si>
    <t>מור קרנות סל</t>
  </si>
  <si>
    <t>סך הכל תעודות סל ישראליות</t>
  </si>
  <si>
    <t>תעודת סל זרה</t>
  </si>
  <si>
    <t xml:space="preserve">BlackRock  Asset Managment </t>
  </si>
  <si>
    <t>Amundi Asset Management</t>
  </si>
  <si>
    <t>First trust</t>
  </si>
  <si>
    <t>State Street Corp</t>
  </si>
  <si>
    <t>LYX MSCI ASI-PAC</t>
  </si>
  <si>
    <t>Invesco investment management limited</t>
  </si>
  <si>
    <t>LYXOR ETF</t>
  </si>
  <si>
    <t>Vanguard Group</t>
  </si>
  <si>
    <t>KRANESHARES</t>
  </si>
  <si>
    <t>Global X Management Co LLc</t>
  </si>
  <si>
    <t>WisdomTree Europe ltd</t>
  </si>
  <si>
    <t>סך הכל תעודות סל זרות</t>
  </si>
  <si>
    <t>סך הכל עמלות ניהול חיצוני</t>
  </si>
  <si>
    <t>תשלום הנובע מהשקעה בקרנות השקעה בישראל</t>
  </si>
  <si>
    <t>פרוט מהשקעות בקרנות השקעה בישראל</t>
  </si>
  <si>
    <t>תשלום הנובע מהשקעה בקרנות השקעה בחו"ל</t>
  </si>
  <si>
    <t>פרוט מהשקעות בקרנות השקעה בחו"ל</t>
  </si>
  <si>
    <t>ח. סך תשלומים בגין השקעה בקרנות נאמנות ישראליות</t>
  </si>
  <si>
    <t>נספח 1 - 1999יהב השתלמות אחים ואחיות כללי -  סך התשלומים ששולמו בגין כל סוג של הוצאה ישירה לשנה המסתיימת ביום 31/12/2023</t>
  </si>
  <si>
    <t>נספח 1 - 2000יהב השתלמות אחים ואחיות ללא מניות -  סך התשלומים ששולמו בגין כל סוג של הוצאה ישירה לשנה המסתיימת ביום 31/12/2023</t>
  </si>
  <si>
    <t>Investec</t>
  </si>
  <si>
    <t>PIMCO</t>
  </si>
  <si>
    <t>פסגות קרנות נאמנות בע"מ</t>
  </si>
  <si>
    <t>ROBO Global Robotics and Autom</t>
  </si>
  <si>
    <t>Van Eck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</si>
</sst>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David"/>
      <family val="2"/>
      <charset val="177"/>
    </font>
    <font>
      <sz val="11"/>
      <color rgb="FF000000"/>
      <name val="Arial"/>
      <family val="2"/>
    </font>
    <font>
      <b/>
      <sz val="11"/>
      <name val="Arial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0" borderId="0" xfId="0" applyFont="1" applyFill="1" applyBorder="1" applyAlignment="1">
      <alignment horizontal="right" readingOrder="2"/>
    </xf>
    <xf numFmtId="165" fontId="2" fillId="0" borderId="0" xfId="1" applyNumberFormat="1" applyFont="1" applyFill="1" applyBorder="1" applyAlignment="1">
      <alignment horizontal="right" readingOrder="2"/>
    </xf>
    <xf numFmtId="0" fontId="3" fillId="0" borderId="0" xfId="0" applyFont="1" applyFill="1" applyBorder="1" applyAlignment="1">
      <alignment readingOrder="2"/>
    </xf>
    <xf numFmtId="0" fontId="5" fillId="0" borderId="0" xfId="3" applyFont="1" applyFill="1" applyBorder="1" applyAlignment="1" applyProtection="1">
      <alignment horizontal="right"/>
    </xf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4" fontId="2" fillId="0" borderId="0" xfId="1" applyNumberFormat="1" applyFont="1" applyFill="1" applyBorder="1" applyAlignment="1"/>
    <xf numFmtId="164" fontId="2" fillId="0" borderId="0" xfId="1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166" fontId="2" fillId="0" borderId="0" xfId="1" applyNumberFormat="1" applyFont="1" applyFill="1" applyBorder="1"/>
    <xf numFmtId="166" fontId="2" fillId="0" borderId="0" xfId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/>
    <xf numFmtId="164" fontId="2" fillId="0" borderId="0" xfId="1" applyFont="1" applyFill="1" applyBorder="1"/>
    <xf numFmtId="164" fontId="6" fillId="0" borderId="0" xfId="1" applyNumberFormat="1" applyFont="1" applyFill="1" applyBorder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164" fontId="8" fillId="0" borderId="0" xfId="0" applyNumberFormat="1" applyFont="1" applyFill="1" applyBorder="1" applyAlignment="1"/>
    <xf numFmtId="0" fontId="9" fillId="0" borderId="0" xfId="0" applyFont="1" applyAlignment="1">
      <alignment horizontal="right"/>
    </xf>
    <xf numFmtId="43" fontId="0" fillId="0" borderId="0" xfId="0" applyNumberFormat="1"/>
    <xf numFmtId="164" fontId="10" fillId="0" borderId="0" xfId="1" applyFont="1" applyFill="1" applyBorder="1"/>
    <xf numFmtId="164" fontId="11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43" fontId="3" fillId="0" borderId="0" xfId="0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3" xfId="3" xr:uid="{B28D553C-E44F-4F38-B6FC-811ECC4D3CD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account/Name/ALL/&#1510;&#1493;&#1493;&#1514;%20&#1488;&#1500;&#1496;&#1513;&#1493;&#1500;&#1512;/&#1492;&#1493;&#1510;&#1488;&#1493;&#1514;%20&#1497;&#1513;&#1497;&#1512;&#1493;&#1514;/&#1488;&#1495;&#1497;&#1501;%20&#1493;&#1488;&#1495;&#1497;&#1493;&#1514;/2023/&#1512;&#1489;&#1506;&#1493;&#1503;%204/&#1492;&#1493;&#1510;&#1488;&#1493;&#1514;%20&#1497;&#1513;&#1497;&#1512;&#1493;&#1514;%20V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לה בדיקת עמלות"/>
      <sheetName val="הפעלה דוח הוצאות ישירות"/>
      <sheetName val="hamara"/>
      <sheetName val="Tik_Kvutza"/>
      <sheetName val="convert"/>
      <sheetName val="דוח תנועות FC דנאל"/>
      <sheetName val="מטריצת תעריפון"/>
      <sheetName val="מטריצת תעריפון דולר"/>
      <sheetName val="מטריצת תעריפון מטבעות"/>
      <sheetName val="DNL_TNU"/>
      <sheetName val="בקרה"/>
      <sheetName val="מטריצת ברוקרים"/>
      <sheetName val="Atlas_MF"/>
      <sheetName val="Atlas_MFTNU"/>
      <sheetName val="Manpik"/>
      <sheetName val="JUNK"/>
      <sheetName val="קרנות השקעה"/>
      <sheetName val="נספח 1 - סך תשלומים ששולמו"/>
      <sheetName val="נספח 2 - עמלות והוצאות"/>
      <sheetName val="נספח 3 - עמלות ניהול חיצוני"/>
      <sheetName val="VALIDATION"/>
    </sheetNames>
    <sheetDataSet>
      <sheetData sheetId="0"/>
      <sheetData sheetId="1">
        <row r="3">
          <cell r="D3" t="str">
            <v>אחים ואחיות</v>
          </cell>
        </row>
        <row r="4">
          <cell r="D4" t="str">
            <v>קרן השתלמות</v>
          </cell>
        </row>
        <row r="5">
          <cell r="D5">
            <v>45291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A9E3-64B3-4FAD-821F-D300AF0772D3}">
  <sheetPr codeName="גיליון1"/>
  <dimension ref="C1:G41"/>
  <sheetViews>
    <sheetView rightToLeft="1" tabSelected="1" workbookViewId="0">
      <selection activeCell="E31" sqref="E31"/>
    </sheetView>
  </sheetViews>
  <sheetFormatPr defaultRowHeight="15" x14ac:dyDescent="0.25"/>
  <cols>
    <col min="3" max="3" width="58" style="7" customWidth="1"/>
    <col min="4" max="4" width="15" style="5" bestFit="1" customWidth="1"/>
    <col min="10" max="10" width="13" bestFit="1" customWidth="1"/>
  </cols>
  <sheetData>
    <row r="1" spans="3:6" x14ac:dyDescent="0.25">
      <c r="C1" s="1" t="s">
        <v>0</v>
      </c>
      <c r="D1" s="2"/>
    </row>
    <row r="2" spans="3:6" x14ac:dyDescent="0.25">
      <c r="C2" s="3" t="s">
        <v>1</v>
      </c>
      <c r="D2" s="2" t="s">
        <v>2</v>
      </c>
    </row>
    <row r="3" spans="3:6" ht="15.75" x14ac:dyDescent="0.25">
      <c r="C3" s="4" t="s">
        <v>3</v>
      </c>
      <c r="D3" s="17">
        <f>SUM(D4:D5)</f>
        <v>447.73825000000005</v>
      </c>
      <c r="F3" s="23"/>
    </row>
    <row r="4" spans="3:6" ht="15.75" x14ac:dyDescent="0.25">
      <c r="C4" s="4" t="s">
        <v>4</v>
      </c>
      <c r="D4" s="17">
        <f>כללי!D4+'ללא מניות'!D4</f>
        <v>92.026709999999994</v>
      </c>
      <c r="F4" s="23"/>
    </row>
    <row r="5" spans="3:6" ht="15.75" x14ac:dyDescent="0.25">
      <c r="C5" s="4" t="s">
        <v>5</v>
      </c>
      <c r="D5" s="17">
        <f>כללי!D5+'ללא מניות'!D5</f>
        <v>355.71154000000007</v>
      </c>
      <c r="F5" s="23"/>
    </row>
    <row r="6" spans="3:6" ht="15.75" x14ac:dyDescent="0.25">
      <c r="C6" s="4"/>
      <c r="D6" s="17">
        <v>0</v>
      </c>
      <c r="F6" s="23"/>
    </row>
    <row r="7" spans="3:6" ht="15.75" x14ac:dyDescent="0.25">
      <c r="C7" s="4" t="s">
        <v>6</v>
      </c>
      <c r="D7" s="17">
        <f>SUM(D8:D9)</f>
        <v>61.5</v>
      </c>
      <c r="F7" s="23"/>
    </row>
    <row r="8" spans="3:6" ht="15.75" x14ac:dyDescent="0.25">
      <c r="C8" s="4" t="s">
        <v>7</v>
      </c>
      <c r="D8" s="17">
        <f>כללי!D8+'ללא מניות'!D8</f>
        <v>0</v>
      </c>
      <c r="F8" s="23"/>
    </row>
    <row r="9" spans="3:6" ht="15.75" x14ac:dyDescent="0.25">
      <c r="C9" s="4" t="s">
        <v>8</v>
      </c>
      <c r="D9" s="17">
        <f>כללי!D9+'ללא מניות'!D9</f>
        <v>61.5</v>
      </c>
      <c r="F9" s="23"/>
    </row>
    <row r="10" spans="3:6" ht="15.75" x14ac:dyDescent="0.25">
      <c r="C10" s="4"/>
      <c r="D10" s="17">
        <v>0</v>
      </c>
      <c r="F10" s="23"/>
    </row>
    <row r="11" spans="3:6" ht="15.75" x14ac:dyDescent="0.25">
      <c r="C11" s="4" t="s">
        <v>9</v>
      </c>
      <c r="D11" s="17">
        <f>SUM(D12)</f>
        <v>38.902000000000001</v>
      </c>
      <c r="F11" s="23"/>
    </row>
    <row r="12" spans="3:6" ht="15.75" x14ac:dyDescent="0.25">
      <c r="C12" s="4" t="s">
        <v>10</v>
      </c>
      <c r="D12" s="17">
        <v>38.902000000000001</v>
      </c>
      <c r="F12" s="23"/>
    </row>
    <row r="13" spans="3:6" ht="15.75" x14ac:dyDescent="0.25">
      <c r="C13" s="4" t="s">
        <v>11</v>
      </c>
      <c r="D13" s="17">
        <f>כללי!D13+'ללא מניות'!D13</f>
        <v>0</v>
      </c>
      <c r="F13" s="23"/>
    </row>
    <row r="14" spans="3:6" ht="15.75" x14ac:dyDescent="0.25">
      <c r="C14" s="4" t="s">
        <v>12</v>
      </c>
      <c r="D14" s="17">
        <f>כללי!D14+'ללא מניות'!D14</f>
        <v>0</v>
      </c>
      <c r="F14" s="23"/>
    </row>
    <row r="15" spans="3:6" ht="15.75" x14ac:dyDescent="0.25">
      <c r="C15" s="4"/>
      <c r="D15" s="17"/>
      <c r="F15" s="23"/>
    </row>
    <row r="16" spans="3:6" ht="15.75" x14ac:dyDescent="0.25">
      <c r="C16" s="4" t="s">
        <v>13</v>
      </c>
      <c r="D16" s="17">
        <f>SUM(D17:D25)</f>
        <v>4838.9601950949809</v>
      </c>
      <c r="F16" s="23"/>
    </row>
    <row r="17" spans="3:7" ht="15.75" x14ac:dyDescent="0.25">
      <c r="C17" s="4" t="s">
        <v>14</v>
      </c>
      <c r="D17" s="17">
        <f>כללי!D17+'ללא מניות'!D17</f>
        <v>1161.9361062216667</v>
      </c>
      <c r="F17" s="23"/>
    </row>
    <row r="18" spans="3:7" ht="15.75" x14ac:dyDescent="0.25">
      <c r="C18" s="4" t="s">
        <v>15</v>
      </c>
      <c r="D18" s="17">
        <f>כללי!D18+'ללא מניות'!D18</f>
        <v>0</v>
      </c>
      <c r="F18" s="23"/>
    </row>
    <row r="19" spans="3:7" ht="15.75" x14ac:dyDescent="0.25">
      <c r="C19" s="4" t="s">
        <v>16</v>
      </c>
      <c r="D19" s="17">
        <f>כללי!D19+'ללא מניות'!D19</f>
        <v>1917.4587910513142</v>
      </c>
      <c r="F19" s="23"/>
    </row>
    <row r="20" spans="3:7" ht="15.75" x14ac:dyDescent="0.25">
      <c r="C20" s="4" t="s">
        <v>17</v>
      </c>
      <c r="D20" s="17">
        <f>כללי!D20+'ללא מניות'!D20</f>
        <v>0</v>
      </c>
      <c r="F20" s="23"/>
    </row>
    <row r="21" spans="3:7" ht="15.75" x14ac:dyDescent="0.25">
      <c r="C21" s="4" t="s">
        <v>18</v>
      </c>
      <c r="D21" s="17">
        <f>כללי!D21+'ללא מניות'!D21</f>
        <v>0</v>
      </c>
      <c r="F21" s="23"/>
    </row>
    <row r="22" spans="3:7" ht="15.75" x14ac:dyDescent="0.25">
      <c r="C22" s="4" t="s">
        <v>19</v>
      </c>
      <c r="D22" s="17">
        <f>כללי!D22+'ללא מניות'!D22</f>
        <v>125.41322600000001</v>
      </c>
      <c r="F22" s="23"/>
    </row>
    <row r="23" spans="3:7" ht="15.75" x14ac:dyDescent="0.25">
      <c r="C23" s="4" t="s">
        <v>20</v>
      </c>
      <c r="D23" s="17">
        <f>כללי!D23+'ללא מניות'!D23</f>
        <v>1152.0106341750009</v>
      </c>
      <c r="F23" s="23"/>
    </row>
    <row r="24" spans="3:7" ht="15.75" x14ac:dyDescent="0.25">
      <c r="C24" s="4" t="s">
        <v>141</v>
      </c>
      <c r="D24" s="17">
        <f>כללי!D24+'ללא מניות'!D24</f>
        <v>43.36</v>
      </c>
      <c r="F24" s="23"/>
    </row>
    <row r="25" spans="3:7" ht="15.75" x14ac:dyDescent="0.25">
      <c r="C25" s="4" t="s">
        <v>22</v>
      </c>
      <c r="D25" s="17">
        <f>כללי!D25+'ללא מניות'!D25</f>
        <v>438.78143764700002</v>
      </c>
      <c r="F25" s="23"/>
    </row>
    <row r="26" spans="3:7" ht="15.75" x14ac:dyDescent="0.25">
      <c r="C26" s="4"/>
      <c r="D26" s="17"/>
      <c r="F26" s="23"/>
    </row>
    <row r="27" spans="3:7" ht="15.75" x14ac:dyDescent="0.25">
      <c r="C27" s="4" t="s">
        <v>23</v>
      </c>
      <c r="D27" s="17">
        <v>0</v>
      </c>
      <c r="F27" s="23"/>
    </row>
    <row r="28" spans="3:7" ht="15.75" x14ac:dyDescent="0.25">
      <c r="C28" s="4" t="s">
        <v>24</v>
      </c>
      <c r="D28" s="17">
        <f>כללי!D28+'ללא מניות'!D28</f>
        <v>0</v>
      </c>
      <c r="F28" s="23"/>
    </row>
    <row r="29" spans="3:7" ht="15.75" x14ac:dyDescent="0.25">
      <c r="C29" s="4" t="s">
        <v>25</v>
      </c>
      <c r="D29" s="17">
        <f>כללי!D29+'ללא מניות'!D29</f>
        <v>0</v>
      </c>
      <c r="F29" s="23"/>
    </row>
    <row r="30" spans="3:7" ht="15.75" x14ac:dyDescent="0.25">
      <c r="C30" s="4"/>
      <c r="D30" s="17"/>
      <c r="F30" s="23"/>
    </row>
    <row r="31" spans="3:7" ht="15.75" x14ac:dyDescent="0.25">
      <c r="C31" s="4" t="s">
        <v>26</v>
      </c>
      <c r="D31" s="17">
        <f>D3+D7+D11+D16+D27</f>
        <v>5387.1004450949813</v>
      </c>
      <c r="F31" s="23"/>
      <c r="G31" s="23"/>
    </row>
    <row r="32" spans="3:7" ht="15.75" x14ac:dyDescent="0.25">
      <c r="C32" s="4"/>
    </row>
    <row r="33" spans="3:4" ht="15.75" x14ac:dyDescent="0.25">
      <c r="C33" s="4" t="s">
        <v>27</v>
      </c>
    </row>
    <row r="34" spans="3:4" ht="15.75" x14ac:dyDescent="0.25">
      <c r="C34" s="4" t="s">
        <v>28</v>
      </c>
      <c r="D34" s="6">
        <f>(D12+D16+D29)/D41</f>
        <v>2.5172710587293839E-3</v>
      </c>
    </row>
    <row r="35" spans="3:4" ht="15.75" x14ac:dyDescent="0.25">
      <c r="C35" s="4" t="s">
        <v>29</v>
      </c>
      <c r="D35" s="6">
        <f>D31/D41</f>
        <v>2.7800687060290609E-3</v>
      </c>
    </row>
    <row r="36" spans="3:4" ht="15.75" x14ac:dyDescent="0.25">
      <c r="C36" s="4"/>
    </row>
    <row r="37" spans="3:4" ht="15.75" x14ac:dyDescent="0.25">
      <c r="C37" s="4" t="s">
        <v>30</v>
      </c>
      <c r="D37" s="5">
        <f>(D39+D41)/2</f>
        <v>1980872.1426330558</v>
      </c>
    </row>
    <row r="39" spans="3:4" x14ac:dyDescent="0.25">
      <c r="C39" s="7" t="s">
        <v>31</v>
      </c>
      <c r="D39" s="5">
        <f>כללי!D39+'ללא מניות'!D39</f>
        <v>2023986.2602892038</v>
      </c>
    </row>
    <row r="41" spans="3:4" x14ac:dyDescent="0.25">
      <c r="C41" s="7" t="s">
        <v>32</v>
      </c>
      <c r="D41" s="5">
        <f>כללי!D41+'ללא מניות'!D41</f>
        <v>1937758.024976908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7B43-4DA6-423F-9598-EF274DD80CC3}">
  <sheetPr codeName="גיליון2"/>
  <dimension ref="C1:F38"/>
  <sheetViews>
    <sheetView rightToLeft="1" workbookViewId="0">
      <selection activeCell="D5" sqref="D5"/>
    </sheetView>
  </sheetViews>
  <sheetFormatPr defaultRowHeight="15" x14ac:dyDescent="0.25"/>
  <cols>
    <col min="3" max="3" width="54.75" style="8" customWidth="1"/>
    <col min="4" max="4" width="13.625" style="10" customWidth="1"/>
    <col min="6" max="6" width="21.75" bestFit="1" customWidth="1"/>
  </cols>
  <sheetData>
    <row r="1" spans="3:6" x14ac:dyDescent="0.25">
      <c r="C1" s="8" t="s">
        <v>33</v>
      </c>
      <c r="D1" s="9"/>
    </row>
    <row r="2" spans="3:6" x14ac:dyDescent="0.25">
      <c r="C2" s="8" t="s">
        <v>1</v>
      </c>
      <c r="D2" s="9" t="s">
        <v>2</v>
      </c>
    </row>
    <row r="3" spans="3:6" x14ac:dyDescent="0.25">
      <c r="C3" s="8" t="s">
        <v>34</v>
      </c>
      <c r="D3" s="10" t="s">
        <v>35</v>
      </c>
    </row>
    <row r="4" spans="3:6" x14ac:dyDescent="0.25">
      <c r="C4" s="11" t="s">
        <v>36</v>
      </c>
      <c r="D4" s="10" t="s">
        <v>35</v>
      </c>
    </row>
    <row r="5" spans="3:6" ht="14.25" x14ac:dyDescent="0.2">
      <c r="C5" s="12" t="s">
        <v>37</v>
      </c>
      <c r="D5" s="18">
        <v>92.027000000000001</v>
      </c>
      <c r="E5" s="18"/>
    </row>
    <row r="6" spans="3:6" x14ac:dyDescent="0.25">
      <c r="C6" s="8" t="s">
        <v>38</v>
      </c>
      <c r="D6" s="10">
        <f>SUM(D5)</f>
        <v>92.027000000000001</v>
      </c>
    </row>
    <row r="7" spans="3:6" x14ac:dyDescent="0.25">
      <c r="C7" s="8" t="s">
        <v>39</v>
      </c>
      <c r="D7" s="10" t="s">
        <v>35</v>
      </c>
    </row>
    <row r="8" spans="3:6" ht="14.25" x14ac:dyDescent="0.2">
      <c r="C8" s="12" t="s">
        <v>40</v>
      </c>
      <c r="D8" s="18">
        <f>-0.571812507999999+6.99158</f>
        <v>6.419767492000001</v>
      </c>
    </row>
    <row r="9" spans="3:6" ht="14.25" x14ac:dyDescent="0.2">
      <c r="C9" s="12" t="s">
        <v>41</v>
      </c>
      <c r="D9" s="18">
        <v>314.95</v>
      </c>
      <c r="E9" s="23"/>
      <c r="F9" s="23"/>
    </row>
    <row r="10" spans="3:6" ht="14.25" x14ac:dyDescent="0.2">
      <c r="C10" s="12" t="s">
        <v>42</v>
      </c>
      <c r="D10" s="18">
        <f>16.8786787+3.132841+0.01</f>
        <v>20.021519699999999</v>
      </c>
    </row>
    <row r="11" spans="3:6" ht="14.25" x14ac:dyDescent="0.2">
      <c r="C11" s="12" t="s">
        <v>43</v>
      </c>
      <c r="D11" s="18">
        <v>14.31672272</v>
      </c>
    </row>
    <row r="12" spans="3:6" x14ac:dyDescent="0.25">
      <c r="C12" s="8" t="s">
        <v>44</v>
      </c>
      <c r="D12" s="10">
        <f>SUM(D8:D11)</f>
        <v>355.70800991199997</v>
      </c>
    </row>
    <row r="13" spans="3:6" x14ac:dyDescent="0.25">
      <c r="C13" s="8" t="s">
        <v>45</v>
      </c>
      <c r="D13" s="10">
        <f>D12+D6</f>
        <v>447.73500991199995</v>
      </c>
    </row>
    <row r="14" spans="3:6" x14ac:dyDescent="0.25">
      <c r="C14" s="8" t="s">
        <v>46</v>
      </c>
      <c r="D14" s="10" t="s">
        <v>35</v>
      </c>
    </row>
    <row r="15" spans="3:6" x14ac:dyDescent="0.25">
      <c r="C15" s="8" t="s">
        <v>36</v>
      </c>
      <c r="D15" s="10" t="s">
        <v>35</v>
      </c>
    </row>
    <row r="16" spans="3:6" x14ac:dyDescent="0.25">
      <c r="C16" s="8" t="s">
        <v>47</v>
      </c>
      <c r="D16" s="10" t="s">
        <v>35</v>
      </c>
    </row>
    <row r="17" spans="3:4" x14ac:dyDescent="0.25">
      <c r="C17" s="8" t="s">
        <v>48</v>
      </c>
      <c r="D17" s="10" t="s">
        <v>35</v>
      </c>
    </row>
    <row r="18" spans="3:4" ht="14.25" x14ac:dyDescent="0.2">
      <c r="C18" s="12" t="s">
        <v>41</v>
      </c>
      <c r="D18" s="18">
        <f>46.46679+15.03</f>
        <v>61.496790000000004</v>
      </c>
    </row>
    <row r="19" spans="3:4" x14ac:dyDescent="0.25">
      <c r="C19" s="8" t="s">
        <v>49</v>
      </c>
      <c r="D19" s="10">
        <f>D18</f>
        <v>61.496790000000004</v>
      </c>
    </row>
    <row r="20" spans="3:4" x14ac:dyDescent="0.25">
      <c r="C20" s="8" t="s">
        <v>50</v>
      </c>
      <c r="D20" s="10" t="s">
        <v>35</v>
      </c>
    </row>
    <row r="21" spans="3:4" x14ac:dyDescent="0.25">
      <c r="C21" s="8" t="s">
        <v>51</v>
      </c>
    </row>
    <row r="22" spans="3:4" x14ac:dyDescent="0.25">
      <c r="C22" s="8" t="s">
        <v>52</v>
      </c>
      <c r="D22" s="10">
        <v>0</v>
      </c>
    </row>
    <row r="23" spans="3:4" x14ac:dyDescent="0.25">
      <c r="C23" s="8" t="s">
        <v>53</v>
      </c>
      <c r="D23" s="10">
        <v>38.902000000000001</v>
      </c>
    </row>
    <row r="24" spans="3:4" x14ac:dyDescent="0.25">
      <c r="C24" s="8" t="s">
        <v>54</v>
      </c>
      <c r="D24" s="10">
        <f>SUM(D22:D23)</f>
        <v>38.902000000000001</v>
      </c>
    </row>
    <row r="25" spans="3:4" x14ac:dyDescent="0.25">
      <c r="C25" s="8" t="s">
        <v>55</v>
      </c>
      <c r="D25" s="10">
        <v>0</v>
      </c>
    </row>
    <row r="26" spans="3:4" x14ac:dyDescent="0.25">
      <c r="C26" s="8" t="s">
        <v>52</v>
      </c>
      <c r="D26" s="10">
        <v>0</v>
      </c>
    </row>
    <row r="27" spans="3:4" x14ac:dyDescent="0.25">
      <c r="C27" s="8" t="s">
        <v>53</v>
      </c>
      <c r="D27" s="10" t="s">
        <v>35</v>
      </c>
    </row>
    <row r="28" spans="3:4" x14ac:dyDescent="0.25">
      <c r="C28" s="8" t="s">
        <v>56</v>
      </c>
      <c r="D28" s="10" t="s">
        <v>35</v>
      </c>
    </row>
    <row r="29" spans="3:4" x14ac:dyDescent="0.25">
      <c r="C29" s="8" t="s">
        <v>57</v>
      </c>
      <c r="D29" s="10" t="s">
        <v>35</v>
      </c>
    </row>
    <row r="30" spans="3:4" x14ac:dyDescent="0.25">
      <c r="C30" s="8" t="s">
        <v>52</v>
      </c>
      <c r="D30" s="10" t="s">
        <v>35</v>
      </c>
    </row>
    <row r="31" spans="3:4" x14ac:dyDescent="0.25">
      <c r="C31" s="8" t="s">
        <v>53</v>
      </c>
      <c r="D31" s="10" t="s">
        <v>35</v>
      </c>
    </row>
    <row r="32" spans="3:4" x14ac:dyDescent="0.25">
      <c r="C32" s="8" t="s">
        <v>58</v>
      </c>
      <c r="D32" s="10" t="s">
        <v>35</v>
      </c>
    </row>
    <row r="33" spans="3:4" x14ac:dyDescent="0.25">
      <c r="C33" s="8" t="s">
        <v>59</v>
      </c>
      <c r="D33" s="10" t="s">
        <v>35</v>
      </c>
    </row>
    <row r="34" spans="3:4" x14ac:dyDescent="0.25">
      <c r="C34" s="8" t="s">
        <v>52</v>
      </c>
      <c r="D34" s="10" t="s">
        <v>35</v>
      </c>
    </row>
    <row r="35" spans="3:4" x14ac:dyDescent="0.25">
      <c r="C35" s="8" t="s">
        <v>53</v>
      </c>
      <c r="D35" s="10" t="s">
        <v>35</v>
      </c>
    </row>
    <row r="36" spans="3:4" x14ac:dyDescent="0.25">
      <c r="C36" s="8" t="s">
        <v>60</v>
      </c>
      <c r="D36" s="10" t="s">
        <v>35</v>
      </c>
    </row>
    <row r="37" spans="3:4" x14ac:dyDescent="0.25">
      <c r="C37" s="8" t="s">
        <v>61</v>
      </c>
      <c r="D37" s="10">
        <f>D13+D19+D24</f>
        <v>548.13379991199997</v>
      </c>
    </row>
    <row r="38" spans="3:4" x14ac:dyDescent="0.25">
      <c r="C38" s="8" t="s">
        <v>62</v>
      </c>
      <c r="D38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2226-ADB2-4855-8CA9-139370F94799}">
  <sheetPr codeName="גיליון3"/>
  <dimension ref="C1:F113"/>
  <sheetViews>
    <sheetView rightToLeft="1" topLeftCell="A58" workbookViewId="0">
      <selection activeCell="E59" sqref="E59"/>
    </sheetView>
  </sheetViews>
  <sheetFormatPr defaultRowHeight="15" x14ac:dyDescent="0.25"/>
  <cols>
    <col min="3" max="3" width="53.25" style="8" bestFit="1" customWidth="1"/>
    <col min="4" max="4" width="13.5" style="7" bestFit="1" customWidth="1"/>
    <col min="5" max="5" width="34.25" bestFit="1" customWidth="1"/>
    <col min="8" max="8" width="41.125" bestFit="1" customWidth="1"/>
  </cols>
  <sheetData>
    <row r="1" spans="3:4" x14ac:dyDescent="0.25">
      <c r="C1" s="8" t="s">
        <v>63</v>
      </c>
      <c r="D1" s="13"/>
    </row>
    <row r="2" spans="3:4" x14ac:dyDescent="0.25">
      <c r="C2" s="8" t="s">
        <v>1</v>
      </c>
      <c r="D2" s="14" t="s">
        <v>64</v>
      </c>
    </row>
    <row r="3" spans="3:4" x14ac:dyDescent="0.25">
      <c r="C3" s="15"/>
      <c r="D3" s="16" t="s">
        <v>35</v>
      </c>
    </row>
    <row r="4" spans="3:4" x14ac:dyDescent="0.25">
      <c r="C4" s="8" t="s">
        <v>137</v>
      </c>
      <c r="D4" s="16">
        <v>0</v>
      </c>
    </row>
    <row r="5" spans="3:4" ht="14.25" x14ac:dyDescent="0.2">
      <c r="C5" s="19" t="s">
        <v>68</v>
      </c>
      <c r="D5" s="16">
        <v>5.9586666666666641</v>
      </c>
    </row>
    <row r="6" spans="3:4" ht="14.25" x14ac:dyDescent="0.2">
      <c r="C6" s="19" t="s">
        <v>69</v>
      </c>
      <c r="D6" s="16">
        <v>87.819090000000003</v>
      </c>
    </row>
    <row r="7" spans="3:4" ht="14.25" x14ac:dyDescent="0.2">
      <c r="C7" s="19" t="s">
        <v>71</v>
      </c>
      <c r="D7" s="16">
        <v>59.36381149999999</v>
      </c>
    </row>
    <row r="8" spans="3:4" ht="14.25" x14ac:dyDescent="0.2">
      <c r="C8" s="19" t="s">
        <v>73</v>
      </c>
      <c r="D8" s="16">
        <v>7.6959999999999997</v>
      </c>
    </row>
    <row r="9" spans="3:4" ht="14.25" x14ac:dyDescent="0.2">
      <c r="C9" s="19" t="s">
        <v>75</v>
      </c>
      <c r="D9" s="16">
        <v>27.257333333333332</v>
      </c>
    </row>
    <row r="10" spans="3:4" ht="14.25" x14ac:dyDescent="0.2">
      <c r="C10" s="19" t="s">
        <v>76</v>
      </c>
      <c r="D10" s="16">
        <v>56.771180000000001</v>
      </c>
    </row>
    <row r="11" spans="3:4" ht="14.25" x14ac:dyDescent="0.2">
      <c r="C11" s="19" t="s">
        <v>78</v>
      </c>
      <c r="D11" s="16">
        <v>199.160456055</v>
      </c>
    </row>
    <row r="12" spans="3:4" ht="14.25" x14ac:dyDescent="0.2">
      <c r="C12" s="19" t="s">
        <v>83</v>
      </c>
      <c r="D12" s="16">
        <v>170.82666666666665</v>
      </c>
    </row>
    <row r="13" spans="3:4" ht="14.25" x14ac:dyDescent="0.2">
      <c r="C13" s="19" t="s">
        <v>85</v>
      </c>
      <c r="D13" s="16">
        <v>56.604149999999997</v>
      </c>
    </row>
    <row r="14" spans="3:4" ht="14.25" x14ac:dyDescent="0.2">
      <c r="C14" s="19" t="s">
        <v>90</v>
      </c>
      <c r="D14" s="16">
        <v>82.013333333333335</v>
      </c>
    </row>
    <row r="15" spans="3:4" ht="14.25" x14ac:dyDescent="0.2">
      <c r="C15" s="19" t="s">
        <v>91</v>
      </c>
      <c r="D15" s="16">
        <v>200.44741866666669</v>
      </c>
    </row>
    <row r="16" spans="3:4" ht="14.25" x14ac:dyDescent="0.2">
      <c r="C16" s="19" t="s">
        <v>99</v>
      </c>
      <c r="D16" s="16">
        <v>208.018</v>
      </c>
    </row>
    <row r="17" spans="3:4" ht="14.25" x14ac:dyDescent="0.2">
      <c r="C17" s="19" t="s">
        <v>100</v>
      </c>
      <c r="D17" s="16">
        <v>0</v>
      </c>
    </row>
    <row r="18" spans="3:4" x14ac:dyDescent="0.25">
      <c r="C18" s="20" t="s">
        <v>138</v>
      </c>
      <c r="D18" s="21">
        <f>SUM(D5:D17)</f>
        <v>1161.9361062216667</v>
      </c>
    </row>
    <row r="19" spans="3:4" x14ac:dyDescent="0.25">
      <c r="C19" s="20" t="s">
        <v>139</v>
      </c>
      <c r="D19" s="16"/>
    </row>
    <row r="20" spans="3:4" ht="14.25" x14ac:dyDescent="0.2">
      <c r="C20" s="19" t="s">
        <v>65</v>
      </c>
      <c r="D20" s="16">
        <v>9.9349442999999997</v>
      </c>
    </row>
    <row r="21" spans="3:4" ht="14.25" x14ac:dyDescent="0.2">
      <c r="C21" s="19" t="s">
        <v>66</v>
      </c>
      <c r="D21" s="16">
        <v>67.724761333333333</v>
      </c>
    </row>
    <row r="22" spans="3:4" ht="14.25" x14ac:dyDescent="0.2">
      <c r="C22" s="19" t="s">
        <v>67</v>
      </c>
      <c r="D22" s="16">
        <v>101.85127321164335</v>
      </c>
    </row>
    <row r="23" spans="3:4" ht="14.25" x14ac:dyDescent="0.2">
      <c r="C23" s="19" t="s">
        <v>70</v>
      </c>
      <c r="D23" s="16">
        <v>58.975506590000002</v>
      </c>
    </row>
    <row r="24" spans="3:4" ht="14.25" x14ac:dyDescent="0.2">
      <c r="C24" s="19" t="s">
        <v>72</v>
      </c>
      <c r="D24" s="16">
        <v>17.385941666666664</v>
      </c>
    </row>
    <row r="25" spans="3:4" ht="14.25" x14ac:dyDescent="0.2">
      <c r="C25" s="19" t="s">
        <v>74</v>
      </c>
      <c r="D25" s="16">
        <v>138.30472223999999</v>
      </c>
    </row>
    <row r="26" spans="3:4" ht="14.25" x14ac:dyDescent="0.2">
      <c r="C26" s="19" t="s">
        <v>77</v>
      </c>
      <c r="D26" s="16">
        <v>141.10532462500004</v>
      </c>
    </row>
    <row r="27" spans="3:4" ht="14.25" x14ac:dyDescent="0.2">
      <c r="C27" s="19" t="s">
        <v>79</v>
      </c>
      <c r="D27" s="16">
        <v>50.105643999999998</v>
      </c>
    </row>
    <row r="28" spans="3:4" ht="14.25" x14ac:dyDescent="0.2">
      <c r="C28" s="19" t="s">
        <v>80</v>
      </c>
      <c r="D28" s="16">
        <v>81.190522472799984</v>
      </c>
    </row>
    <row r="29" spans="3:4" ht="14.25" x14ac:dyDescent="0.2">
      <c r="C29" s="19" t="s">
        <v>81</v>
      </c>
      <c r="D29" s="16">
        <v>43.601659333333338</v>
      </c>
    </row>
    <row r="30" spans="3:4" ht="14.25" x14ac:dyDescent="0.2">
      <c r="C30" s="19" t="s">
        <v>82</v>
      </c>
      <c r="D30" s="16">
        <v>3.1025987305375002</v>
      </c>
    </row>
    <row r="31" spans="3:4" ht="14.25" x14ac:dyDescent="0.2">
      <c r="C31" s="19" t="s">
        <v>84</v>
      </c>
      <c r="D31" s="16">
        <v>77.651220398000007</v>
      </c>
    </row>
    <row r="32" spans="3:4" ht="14.25" x14ac:dyDescent="0.2">
      <c r="C32" s="19" t="s">
        <v>86</v>
      </c>
      <c r="D32" s="16">
        <v>50.710236666666667</v>
      </c>
    </row>
    <row r="33" spans="3:4" ht="14.25" x14ac:dyDescent="0.2">
      <c r="C33" s="19" t="s">
        <v>87</v>
      </c>
      <c r="D33" s="16">
        <v>110.655</v>
      </c>
    </row>
    <row r="34" spans="3:4" ht="14.25" x14ac:dyDescent="0.2">
      <c r="C34" s="19" t="s">
        <v>88</v>
      </c>
      <c r="D34" s="16">
        <v>214.42244099999999</v>
      </c>
    </row>
    <row r="35" spans="3:4" ht="14.25" x14ac:dyDescent="0.2">
      <c r="C35" s="19" t="s">
        <v>89</v>
      </c>
      <c r="D35" s="16">
        <v>79.698768000000001</v>
      </c>
    </row>
    <row r="36" spans="3:4" ht="14.25" x14ac:dyDescent="0.2">
      <c r="C36" s="19" t="s">
        <v>92</v>
      </c>
      <c r="D36" s="16">
        <v>129.31593066666665</v>
      </c>
    </row>
    <row r="37" spans="3:4" ht="14.25" x14ac:dyDescent="0.2">
      <c r="C37" s="19" t="s">
        <v>93</v>
      </c>
      <c r="D37" s="16">
        <v>74.521762666666675</v>
      </c>
    </row>
    <row r="38" spans="3:4" ht="14.25" x14ac:dyDescent="0.2">
      <c r="C38" s="19" t="s">
        <v>94</v>
      </c>
      <c r="D38" s="16">
        <v>104.39966749999998</v>
      </c>
    </row>
    <row r="39" spans="3:4" ht="14.25" x14ac:dyDescent="0.2">
      <c r="C39" s="19" t="s">
        <v>95</v>
      </c>
      <c r="D39" s="16">
        <v>83.398243649999984</v>
      </c>
    </row>
    <row r="40" spans="3:4" ht="14.25" x14ac:dyDescent="0.2">
      <c r="C40" s="19" t="s">
        <v>96</v>
      </c>
      <c r="D40" s="16">
        <v>46.585307999999998</v>
      </c>
    </row>
    <row r="41" spans="3:4" ht="14.25" x14ac:dyDescent="0.2">
      <c r="C41" s="19" t="s">
        <v>97</v>
      </c>
      <c r="D41" s="16">
        <v>121.63231399999999</v>
      </c>
    </row>
    <row r="42" spans="3:4" ht="14.25" x14ac:dyDescent="0.2">
      <c r="C42" s="19" t="s">
        <v>98</v>
      </c>
      <c r="D42" s="16">
        <v>111.185</v>
      </c>
    </row>
    <row r="43" spans="3:4" ht="14.25" x14ac:dyDescent="0.2">
      <c r="C43" s="19" t="s">
        <v>101</v>
      </c>
      <c r="D43" s="16">
        <v>0</v>
      </c>
    </row>
    <row r="44" spans="3:4" x14ac:dyDescent="0.25">
      <c r="C44" s="22" t="s">
        <v>140</v>
      </c>
      <c r="D44" s="21">
        <f>SUM(D20:D43)</f>
        <v>1917.4587910513142</v>
      </c>
    </row>
    <row r="45" spans="3:4" x14ac:dyDescent="0.25">
      <c r="C45" s="8" t="s">
        <v>102</v>
      </c>
      <c r="D45" s="21">
        <f>D18+D44</f>
        <v>3079.3948972729809</v>
      </c>
    </row>
    <row r="46" spans="3:4" x14ac:dyDescent="0.25">
      <c r="C46" s="8" t="s">
        <v>103</v>
      </c>
      <c r="D46" s="16" t="s">
        <v>35</v>
      </c>
    </row>
    <row r="47" spans="3:4" ht="14.25" x14ac:dyDescent="0.2">
      <c r="C47" s="12" t="s">
        <v>52</v>
      </c>
      <c r="D47" s="16" t="s">
        <v>35</v>
      </c>
    </row>
    <row r="48" spans="3:4" ht="14.25" x14ac:dyDescent="0.2">
      <c r="C48" s="12" t="s">
        <v>53</v>
      </c>
      <c r="D48" s="16" t="s">
        <v>35</v>
      </c>
    </row>
    <row r="49" spans="3:6" x14ac:dyDescent="0.25">
      <c r="C49" s="8" t="s">
        <v>104</v>
      </c>
      <c r="D49" s="16" t="s">
        <v>35</v>
      </c>
    </row>
    <row r="50" spans="3:6" x14ac:dyDescent="0.25">
      <c r="C50" s="8" t="s">
        <v>105</v>
      </c>
      <c r="D50" s="16" t="s">
        <v>35</v>
      </c>
    </row>
    <row r="51" spans="3:6" ht="14.25" x14ac:dyDescent="0.2">
      <c r="C51" s="12" t="s">
        <v>52</v>
      </c>
      <c r="D51" s="16" t="s">
        <v>35</v>
      </c>
    </row>
    <row r="52" spans="3:6" ht="14.25" x14ac:dyDescent="0.2">
      <c r="C52" s="12" t="s">
        <v>53</v>
      </c>
      <c r="D52" s="16" t="s">
        <v>35</v>
      </c>
    </row>
    <row r="53" spans="3:6" x14ac:dyDescent="0.25">
      <c r="C53" s="8" t="s">
        <v>106</v>
      </c>
      <c r="D53" s="16" t="s">
        <v>35</v>
      </c>
    </row>
    <row r="54" spans="3:6" x14ac:dyDescent="0.25">
      <c r="C54" s="8" t="s">
        <v>107</v>
      </c>
      <c r="D54" s="16" t="s">
        <v>35</v>
      </c>
    </row>
    <row r="55" spans="3:6" x14ac:dyDescent="0.25">
      <c r="C55" s="8" t="s">
        <v>108</v>
      </c>
      <c r="D55" s="21">
        <f>SUM(D56)</f>
        <v>43.355538714999994</v>
      </c>
    </row>
    <row r="56" spans="3:6" ht="14.25" x14ac:dyDescent="0.2">
      <c r="C56" s="12" t="s">
        <v>109</v>
      </c>
      <c r="D56" s="16">
        <f>10.195538715+33.12+0.04</f>
        <v>43.355538714999994</v>
      </c>
      <c r="E56" s="12"/>
      <c r="F56" s="25"/>
    </row>
    <row r="57" spans="3:6" x14ac:dyDescent="0.25">
      <c r="C57" s="8" t="s">
        <v>110</v>
      </c>
      <c r="D57" s="21">
        <f>SUM(D58:D63)</f>
        <v>438.77649744400003</v>
      </c>
      <c r="E57" s="8"/>
      <c r="F57" s="26"/>
    </row>
    <row r="58" spans="3:6" ht="14.25" x14ac:dyDescent="0.2">
      <c r="C58" s="12" t="s">
        <v>111</v>
      </c>
      <c r="D58" s="16">
        <f>14.679898149+37.26</f>
        <v>51.939898149000001</v>
      </c>
      <c r="E58" s="12"/>
      <c r="F58" s="25"/>
    </row>
    <row r="59" spans="3:6" ht="14.25" x14ac:dyDescent="0.2">
      <c r="C59" s="12" t="s">
        <v>112</v>
      </c>
      <c r="D59" s="16">
        <f>10.865568657+80.89</f>
        <v>91.755568656999998</v>
      </c>
      <c r="E59" s="12"/>
      <c r="F59" s="25"/>
    </row>
    <row r="60" spans="3:6" ht="14.25" x14ac:dyDescent="0.2">
      <c r="C60" s="12" t="s">
        <v>113</v>
      </c>
      <c r="D60" s="16">
        <f>21.653164322+58.54</f>
        <v>80.193164322000001</v>
      </c>
      <c r="E60" s="12"/>
      <c r="F60" s="12"/>
    </row>
    <row r="61" spans="3:6" ht="14.25" x14ac:dyDescent="0.2">
      <c r="C61" s="12" t="s">
        <v>144</v>
      </c>
      <c r="D61" s="16">
        <v>58.317940360999998</v>
      </c>
      <c r="E61" s="12"/>
      <c r="F61" s="12"/>
    </row>
    <row r="62" spans="3:6" ht="14.25" x14ac:dyDescent="0.2">
      <c r="C62" s="12" t="s">
        <v>145</v>
      </c>
      <c r="D62" s="16">
        <v>54.277119435999992</v>
      </c>
      <c r="E62" s="12"/>
      <c r="F62" s="12"/>
    </row>
    <row r="63" spans="3:6" ht="14.25" x14ac:dyDescent="0.2">
      <c r="C63" s="12" t="s">
        <v>114</v>
      </c>
      <c r="D63" s="16">
        <f>27.582806519+74.66+0.05</f>
        <v>102.292806519</v>
      </c>
      <c r="E63" s="12"/>
      <c r="F63" s="12"/>
    </row>
    <row r="64" spans="3:6" x14ac:dyDescent="0.25">
      <c r="C64" s="8" t="s">
        <v>115</v>
      </c>
      <c r="D64" s="21">
        <f>D57+D55</f>
        <v>482.13203615899999</v>
      </c>
      <c r="E64" s="12"/>
      <c r="F64" s="12"/>
    </row>
    <row r="65" spans="3:6" x14ac:dyDescent="0.25">
      <c r="C65" s="8" t="s">
        <v>116</v>
      </c>
      <c r="D65" s="16" t="s">
        <v>35</v>
      </c>
      <c r="E65" s="12"/>
      <c r="F65" s="12"/>
    </row>
    <row r="66" spans="3:6" x14ac:dyDescent="0.25">
      <c r="C66" s="8" t="s">
        <v>117</v>
      </c>
      <c r="D66" s="16">
        <v>0</v>
      </c>
      <c r="E66" s="12"/>
      <c r="F66" s="12"/>
    </row>
    <row r="67" spans="3:6" ht="14.25" x14ac:dyDescent="0.2">
      <c r="C67" s="12" t="s">
        <v>118</v>
      </c>
      <c r="D67" s="16">
        <f>12.98+35.57</f>
        <v>48.55</v>
      </c>
      <c r="E67" s="12"/>
      <c r="F67" s="12"/>
    </row>
    <row r="68" spans="3:6" ht="14.25" x14ac:dyDescent="0.2">
      <c r="C68" s="12" t="s">
        <v>119</v>
      </c>
      <c r="D68" s="16">
        <f>13.86+39.67-0.21</f>
        <v>53.32</v>
      </c>
      <c r="E68" s="12"/>
      <c r="F68" s="12"/>
    </row>
    <row r="69" spans="3:6" ht="14.25" x14ac:dyDescent="0.2">
      <c r="C69" s="12" t="s">
        <v>120</v>
      </c>
      <c r="D69" s="16">
        <f>6.9+15.06</f>
        <v>21.96</v>
      </c>
      <c r="E69" s="12"/>
      <c r="F69" s="12"/>
    </row>
    <row r="70" spans="3:6" ht="14.25" x14ac:dyDescent="0.2">
      <c r="C70" s="12" t="s">
        <v>146</v>
      </c>
      <c r="D70" s="16">
        <v>1.579973426</v>
      </c>
      <c r="E70" s="12"/>
      <c r="F70" s="12"/>
    </row>
    <row r="71" spans="3:6" ht="14.25" x14ac:dyDescent="0.2">
      <c r="C71" s="12" t="s">
        <v>121</v>
      </c>
      <c r="D71" s="16">
        <v>0</v>
      </c>
      <c r="E71" s="12"/>
      <c r="F71" s="12"/>
    </row>
    <row r="72" spans="3:6" x14ac:dyDescent="0.25">
      <c r="C72" s="8" t="s">
        <v>122</v>
      </c>
      <c r="D72" s="26">
        <f>SUM(D67:D71)</f>
        <v>125.40997342600001</v>
      </c>
      <c r="E72" s="27"/>
      <c r="F72" s="12"/>
    </row>
    <row r="73" spans="3:6" x14ac:dyDescent="0.25">
      <c r="C73" s="8" t="s">
        <v>123</v>
      </c>
      <c r="D73" s="16">
        <v>0</v>
      </c>
      <c r="E73" s="12"/>
      <c r="F73" s="12"/>
    </row>
    <row r="74" spans="3:6" ht="14.25" x14ac:dyDescent="0.2">
      <c r="C74" s="12" t="s">
        <v>124</v>
      </c>
      <c r="D74" s="16">
        <f>70.0739990370001+292.13</f>
        <v>362.20399903700013</v>
      </c>
      <c r="E74" s="12"/>
      <c r="F74" s="12"/>
    </row>
    <row r="75" spans="3:6" ht="14.25" x14ac:dyDescent="0.2">
      <c r="C75" s="12" t="s">
        <v>125</v>
      </c>
      <c r="D75" s="16">
        <f>2.634291105+2.06+1.894214</f>
        <v>6.5885051049999994</v>
      </c>
      <c r="E75" s="12"/>
      <c r="F75" s="12"/>
    </row>
    <row r="76" spans="3:6" ht="14.25" x14ac:dyDescent="0.2">
      <c r="C76" s="12" t="s">
        <v>126</v>
      </c>
      <c r="D76" s="16">
        <f>26.521164775+92.56</f>
        <v>119.081164775</v>
      </c>
      <c r="E76" s="12"/>
      <c r="F76" s="12"/>
    </row>
    <row r="77" spans="3:6" ht="14.25" x14ac:dyDescent="0.2">
      <c r="C77" s="12" t="s">
        <v>127</v>
      </c>
      <c r="D77" s="16">
        <f>24.322865725+79.56</f>
        <v>103.882865725</v>
      </c>
      <c r="E77" s="12"/>
      <c r="F77" s="12"/>
    </row>
    <row r="78" spans="3:6" ht="14.25" x14ac:dyDescent="0.2">
      <c r="C78" s="12" t="s">
        <v>128</v>
      </c>
      <c r="D78" s="16">
        <f>2.84394193+1.76</f>
        <v>4.6039419300000004</v>
      </c>
      <c r="E78" s="12"/>
      <c r="F78" s="12"/>
    </row>
    <row r="79" spans="3:6" ht="14.25" x14ac:dyDescent="0.2">
      <c r="C79" s="12" t="s">
        <v>129</v>
      </c>
      <c r="D79" s="16">
        <f>69.5416352840001+134.32</f>
        <v>203.8616352840001</v>
      </c>
      <c r="E79" s="12"/>
      <c r="F79" s="12"/>
    </row>
    <row r="80" spans="3:6" ht="14.25" x14ac:dyDescent="0.2">
      <c r="C80" s="12" t="s">
        <v>130</v>
      </c>
      <c r="D80" s="16">
        <f>6.643333726+20.16</f>
        <v>26.803333725999998</v>
      </c>
      <c r="E80" s="12"/>
      <c r="F80" s="12"/>
    </row>
    <row r="81" spans="3:6" ht="14.25" x14ac:dyDescent="0.2">
      <c r="C81" s="12" t="s">
        <v>131</v>
      </c>
      <c r="D81" s="16">
        <f>2.564712359+10.51</f>
        <v>13.074712358999999</v>
      </c>
      <c r="E81" s="12"/>
      <c r="F81" s="12"/>
    </row>
    <row r="82" spans="3:6" ht="14.25" x14ac:dyDescent="0.2">
      <c r="C82" s="12" t="s">
        <v>147</v>
      </c>
      <c r="D82" s="16">
        <v>14.61</v>
      </c>
      <c r="E82" s="12"/>
      <c r="F82" s="12"/>
    </row>
    <row r="83" spans="3:6" ht="14.25" x14ac:dyDescent="0.2">
      <c r="C83" s="12" t="s">
        <v>148</v>
      </c>
      <c r="D83" s="16">
        <v>3.69</v>
      </c>
      <c r="E83" s="12"/>
      <c r="F83" s="12"/>
    </row>
    <row r="84" spans="3:6" ht="14.25" x14ac:dyDescent="0.2">
      <c r="C84" s="12" t="s">
        <v>132</v>
      </c>
      <c r="D84" s="16">
        <f>12.398274694+106.3</f>
        <v>118.69827469399999</v>
      </c>
      <c r="E84" s="12"/>
      <c r="F84" s="12"/>
    </row>
    <row r="85" spans="3:6" ht="14.25" x14ac:dyDescent="0.2">
      <c r="C85" s="12" t="s">
        <v>133</v>
      </c>
      <c r="D85" s="16">
        <f>6.770480424+18.97</f>
        <v>25.740480423999998</v>
      </c>
      <c r="E85" s="12"/>
      <c r="F85" s="12"/>
    </row>
    <row r="86" spans="3:6" ht="14.25" x14ac:dyDescent="0.2">
      <c r="C86" s="12" t="s">
        <v>134</v>
      </c>
      <c r="D86" s="16">
        <f>38.761721116+110.44-0.03</f>
        <v>149.17172111599999</v>
      </c>
      <c r="E86" s="12"/>
      <c r="F86" s="12"/>
    </row>
    <row r="87" spans="3:6" x14ac:dyDescent="0.25">
      <c r="C87" s="8" t="s">
        <v>135</v>
      </c>
      <c r="D87" s="16">
        <f>SUM(D74:D86)</f>
        <v>1152.0106341750004</v>
      </c>
      <c r="E87" s="12"/>
      <c r="F87" s="12"/>
    </row>
    <row r="88" spans="3:6" x14ac:dyDescent="0.25">
      <c r="C88" s="8" t="s">
        <v>136</v>
      </c>
      <c r="D88" s="16">
        <f>D87+D72+D64+D45</f>
        <v>4838.9475410329815</v>
      </c>
      <c r="E88" s="12"/>
      <c r="F88" s="25"/>
    </row>
    <row r="89" spans="3:6" x14ac:dyDescent="0.25">
      <c r="C89" s="8" t="s">
        <v>62</v>
      </c>
      <c r="D89" s="16">
        <v>0</v>
      </c>
      <c r="E89" s="12"/>
      <c r="F89" s="25"/>
    </row>
    <row r="90" spans="3:6" x14ac:dyDescent="0.25">
      <c r="C90" s="12"/>
    </row>
    <row r="91" spans="3:6" x14ac:dyDescent="0.25">
      <c r="C91" s="12"/>
    </row>
    <row r="92" spans="3:6" x14ac:dyDescent="0.25">
      <c r="C92" s="12"/>
    </row>
    <row r="93" spans="3:6" x14ac:dyDescent="0.25">
      <c r="C93" s="12"/>
    </row>
    <row r="94" spans="3:6" x14ac:dyDescent="0.25">
      <c r="C94" s="12"/>
    </row>
    <row r="95" spans="3:6" x14ac:dyDescent="0.25">
      <c r="C95" s="12"/>
    </row>
    <row r="96" spans="3:6" x14ac:dyDescent="0.25">
      <c r="C96" s="12"/>
    </row>
    <row r="97" spans="3:3" x14ac:dyDescent="0.25">
      <c r="C97" s="12"/>
    </row>
    <row r="98" spans="3:3" x14ac:dyDescent="0.25">
      <c r="C98" s="12"/>
    </row>
    <row r="99" spans="3:3" x14ac:dyDescent="0.25">
      <c r="C99" s="12"/>
    </row>
    <row r="100" spans="3:3" x14ac:dyDescent="0.25">
      <c r="C100" s="12"/>
    </row>
    <row r="101" spans="3:3" x14ac:dyDescent="0.25">
      <c r="C101" s="12"/>
    </row>
    <row r="102" spans="3:3" x14ac:dyDescent="0.25">
      <c r="C102" s="12"/>
    </row>
    <row r="103" spans="3:3" x14ac:dyDescent="0.25">
      <c r="C103" s="12"/>
    </row>
    <row r="104" spans="3:3" x14ac:dyDescent="0.25">
      <c r="C104" s="12"/>
    </row>
    <row r="105" spans="3:3" x14ac:dyDescent="0.25">
      <c r="C105" s="12"/>
    </row>
    <row r="106" spans="3:3" x14ac:dyDescent="0.25">
      <c r="C106" s="12"/>
    </row>
    <row r="107" spans="3:3" x14ac:dyDescent="0.25">
      <c r="C107" s="12"/>
    </row>
    <row r="108" spans="3:3" x14ac:dyDescent="0.25">
      <c r="C108" s="12"/>
    </row>
    <row r="109" spans="3:3" x14ac:dyDescent="0.25">
      <c r="C109" s="12"/>
    </row>
    <row r="110" spans="3:3" x14ac:dyDescent="0.25">
      <c r="C110" s="12"/>
    </row>
    <row r="111" spans="3:3" x14ac:dyDescent="0.25">
      <c r="C111" s="12"/>
    </row>
    <row r="112" spans="3:3" x14ac:dyDescent="0.25">
      <c r="C112" s="12"/>
    </row>
    <row r="113" spans="3:3" x14ac:dyDescent="0.25">
      <c r="C113" s="1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819D-588E-4152-9393-29BBB3D0BA62}">
  <dimension ref="C1:E41"/>
  <sheetViews>
    <sheetView rightToLeft="1" workbookViewId="0">
      <selection activeCell="D32" sqref="D32"/>
    </sheetView>
  </sheetViews>
  <sheetFormatPr defaultRowHeight="15" x14ac:dyDescent="0.25"/>
  <cols>
    <col min="3" max="3" width="58" style="7" customWidth="1"/>
    <col min="4" max="4" width="15" style="5" bestFit="1" customWidth="1"/>
  </cols>
  <sheetData>
    <row r="1" spans="3:5" x14ac:dyDescent="0.25">
      <c r="C1" s="1" t="s">
        <v>142</v>
      </c>
      <c r="D1" s="2"/>
    </row>
    <row r="2" spans="3:5" x14ac:dyDescent="0.25">
      <c r="C2" s="3" t="s">
        <v>1</v>
      </c>
      <c r="D2" s="2" t="s">
        <v>2</v>
      </c>
    </row>
    <row r="3" spans="3:5" ht="15.75" x14ac:dyDescent="0.25">
      <c r="C3" s="4" t="s">
        <v>3</v>
      </c>
      <c r="D3" s="17">
        <f>SUM(D4:D5)</f>
        <v>441.81100000000004</v>
      </c>
      <c r="E3" s="17"/>
    </row>
    <row r="4" spans="3:5" ht="15.75" x14ac:dyDescent="0.25">
      <c r="C4" s="4" t="s">
        <v>4</v>
      </c>
      <c r="D4" s="17">
        <v>90.400999999999996</v>
      </c>
      <c r="E4" s="17"/>
    </row>
    <row r="5" spans="3:5" ht="15.75" x14ac:dyDescent="0.25">
      <c r="C5" s="4" t="s">
        <v>5</v>
      </c>
      <c r="D5" s="17">
        <v>351.41</v>
      </c>
      <c r="E5" s="17"/>
    </row>
    <row r="6" spans="3:5" ht="15.75" x14ac:dyDescent="0.25">
      <c r="C6" s="4"/>
      <c r="D6" s="17">
        <v>0</v>
      </c>
      <c r="E6" s="17"/>
    </row>
    <row r="7" spans="3:5" ht="15.75" x14ac:dyDescent="0.25">
      <c r="C7" s="4" t="s">
        <v>6</v>
      </c>
      <c r="D7" s="17">
        <f>SUM(D8:D9)</f>
        <v>61.5</v>
      </c>
      <c r="E7" s="17"/>
    </row>
    <row r="8" spans="3:5" ht="15.75" x14ac:dyDescent="0.25">
      <c r="C8" s="4" t="s">
        <v>7</v>
      </c>
      <c r="D8" s="17">
        <v>0</v>
      </c>
      <c r="E8" s="17"/>
    </row>
    <row r="9" spans="3:5" ht="15.75" x14ac:dyDescent="0.25">
      <c r="C9" s="4" t="s">
        <v>8</v>
      </c>
      <c r="D9" s="17">
        <f>15.03+46.47</f>
        <v>61.5</v>
      </c>
      <c r="E9" s="17"/>
    </row>
    <row r="10" spans="3:5" ht="15.75" x14ac:dyDescent="0.25">
      <c r="C10" s="4"/>
      <c r="D10" s="17">
        <v>0</v>
      </c>
      <c r="E10" s="17"/>
    </row>
    <row r="11" spans="3:5" ht="15.75" x14ac:dyDescent="0.25">
      <c r="C11" s="4" t="s">
        <v>9</v>
      </c>
      <c r="D11" s="17">
        <f>SUM(D12:D14)</f>
        <v>38.902000000000001</v>
      </c>
      <c r="E11" s="17"/>
    </row>
    <row r="12" spans="3:5" ht="15.75" x14ac:dyDescent="0.25">
      <c r="C12" s="4" t="s">
        <v>10</v>
      </c>
      <c r="D12" s="17">
        <v>38.902000000000001</v>
      </c>
      <c r="E12" s="17"/>
    </row>
    <row r="13" spans="3:5" ht="15.75" x14ac:dyDescent="0.25">
      <c r="C13" s="4" t="s">
        <v>11</v>
      </c>
      <c r="D13" s="17">
        <v>0</v>
      </c>
      <c r="E13" s="17"/>
    </row>
    <row r="14" spans="3:5" ht="15.75" x14ac:dyDescent="0.25">
      <c r="C14" s="4" t="s">
        <v>12</v>
      </c>
      <c r="D14" s="17">
        <v>0</v>
      </c>
      <c r="E14" s="17"/>
    </row>
    <row r="15" spans="3:5" ht="15.75" x14ac:dyDescent="0.25">
      <c r="C15" s="4"/>
      <c r="D15" s="17"/>
      <c r="E15" s="17"/>
    </row>
    <row r="16" spans="3:5" ht="15.75" x14ac:dyDescent="0.25">
      <c r="C16" s="4" t="s">
        <v>13</v>
      </c>
      <c r="D16" s="17">
        <f>SUM(D17:D25)</f>
        <v>4836.9295990949813</v>
      </c>
      <c r="E16" s="17"/>
    </row>
    <row r="17" spans="3:5" ht="15.75" x14ac:dyDescent="0.25">
      <c r="C17" s="4" t="s">
        <v>14</v>
      </c>
      <c r="D17" s="17">
        <f>'נספח 3'!D18</f>
        <v>1161.9361062216667</v>
      </c>
      <c r="E17" s="17"/>
    </row>
    <row r="18" spans="3:5" ht="15.75" x14ac:dyDescent="0.25">
      <c r="C18" s="4" t="s">
        <v>15</v>
      </c>
      <c r="D18" s="17">
        <v>0</v>
      </c>
      <c r="E18" s="17"/>
    </row>
    <row r="19" spans="3:5" ht="15.75" x14ac:dyDescent="0.25">
      <c r="C19" s="4" t="s">
        <v>16</v>
      </c>
      <c r="D19" s="17">
        <f>'נספח 3'!D44</f>
        <v>1917.4587910513142</v>
      </c>
      <c r="E19" s="17"/>
    </row>
    <row r="20" spans="3:5" ht="15.75" x14ac:dyDescent="0.25">
      <c r="C20" s="4" t="s">
        <v>17</v>
      </c>
      <c r="D20" s="17">
        <v>0</v>
      </c>
      <c r="E20" s="17"/>
    </row>
    <row r="21" spans="3:5" ht="15.75" x14ac:dyDescent="0.25">
      <c r="C21" s="4" t="s">
        <v>18</v>
      </c>
      <c r="D21" s="17">
        <v>0</v>
      </c>
      <c r="E21" s="17"/>
    </row>
    <row r="22" spans="3:5" ht="15.75" x14ac:dyDescent="0.25">
      <c r="C22" s="4" t="s">
        <v>19</v>
      </c>
      <c r="D22" s="17">
        <f>32.60263+90.78</f>
        <v>123.38263000000001</v>
      </c>
      <c r="E22" s="17"/>
    </row>
    <row r="23" spans="3:5" ht="15.75" x14ac:dyDescent="0.25">
      <c r="C23" s="4" t="s">
        <v>20</v>
      </c>
      <c r="D23" s="24">
        <f>263.076420175001+887.04+1.894214</f>
        <v>1152.0106341750009</v>
      </c>
      <c r="E23" s="17"/>
    </row>
    <row r="24" spans="3:5" ht="15.75" x14ac:dyDescent="0.25">
      <c r="C24" s="4" t="s">
        <v>21</v>
      </c>
      <c r="D24" s="24">
        <f>10.2+33.16</f>
        <v>43.36</v>
      </c>
      <c r="E24" s="17"/>
    </row>
    <row r="25" spans="3:5" ht="15.75" x14ac:dyDescent="0.25">
      <c r="C25" s="4" t="s">
        <v>22</v>
      </c>
      <c r="D25" s="24">
        <f>74.781437647+364</f>
        <v>438.78143764700002</v>
      </c>
      <c r="E25" s="17"/>
    </row>
    <row r="26" spans="3:5" ht="15.75" x14ac:dyDescent="0.25">
      <c r="C26" s="4"/>
      <c r="D26" s="17"/>
    </row>
    <row r="27" spans="3:5" ht="15.75" x14ac:dyDescent="0.25">
      <c r="C27" s="4" t="s">
        <v>23</v>
      </c>
      <c r="D27" s="17">
        <f>SUM(D28:D29)</f>
        <v>0</v>
      </c>
    </row>
    <row r="28" spans="3:5" ht="15.75" x14ac:dyDescent="0.25">
      <c r="C28" s="4" t="s">
        <v>24</v>
      </c>
      <c r="D28" s="17"/>
    </row>
    <row r="29" spans="3:5" ht="15.75" x14ac:dyDescent="0.25">
      <c r="C29" s="4" t="s">
        <v>25</v>
      </c>
      <c r="D29" s="17"/>
    </row>
    <row r="30" spans="3:5" ht="15.75" x14ac:dyDescent="0.25">
      <c r="C30" s="4"/>
      <c r="D30" s="17"/>
    </row>
    <row r="31" spans="3:5" ht="15.75" x14ac:dyDescent="0.25">
      <c r="C31" s="4" t="s">
        <v>26</v>
      </c>
      <c r="D31" s="17">
        <f>D3+D7+D11+D16+D27</f>
        <v>5379.1425990949811</v>
      </c>
    </row>
    <row r="32" spans="3:5" ht="15.75" x14ac:dyDescent="0.25">
      <c r="C32" s="4"/>
    </row>
    <row r="33" spans="3:4" ht="15.75" x14ac:dyDescent="0.25">
      <c r="C33" s="4" t="s">
        <v>27</v>
      </c>
    </row>
    <row r="34" spans="3:4" ht="15.75" x14ac:dyDescent="0.25">
      <c r="C34" s="4" t="s">
        <v>28</v>
      </c>
      <c r="D34" s="6">
        <f>(D12+D16+D29)/D41</f>
        <v>2.5542454823127532E-3</v>
      </c>
    </row>
    <row r="35" spans="3:4" ht="15.75" x14ac:dyDescent="0.25">
      <c r="C35" s="4" t="s">
        <v>29</v>
      </c>
      <c r="D35" s="6">
        <f>D31/D41</f>
        <v>2.8179091921477963E-3</v>
      </c>
    </row>
    <row r="36" spans="3:4" ht="15.75" x14ac:dyDescent="0.25">
      <c r="C36" s="4"/>
    </row>
    <row r="37" spans="3:4" ht="15.75" x14ac:dyDescent="0.25">
      <c r="C37" s="4" t="s">
        <v>30</v>
      </c>
      <c r="D37" s="5">
        <f>(D39+D41)/2</f>
        <v>1951741.850172135</v>
      </c>
    </row>
    <row r="39" spans="3:4" x14ac:dyDescent="0.25">
      <c r="C39" s="7" t="s">
        <v>31</v>
      </c>
      <c r="D39" s="5">
        <v>1994571.0163996799</v>
      </c>
    </row>
    <row r="41" spans="3:4" x14ac:dyDescent="0.25">
      <c r="C41" s="7" t="s">
        <v>32</v>
      </c>
      <c r="D41" s="5">
        <v>1908912.6839445899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EA66-DE3E-4794-96CF-7F40A0E5221B}">
  <dimension ref="C1:E41"/>
  <sheetViews>
    <sheetView rightToLeft="1" workbookViewId="0">
      <selection activeCell="C27" sqref="C27"/>
    </sheetView>
  </sheetViews>
  <sheetFormatPr defaultRowHeight="15" x14ac:dyDescent="0.25"/>
  <cols>
    <col min="3" max="3" width="58" style="7" customWidth="1"/>
    <col min="4" max="4" width="15" style="5" bestFit="1" customWidth="1"/>
  </cols>
  <sheetData>
    <row r="1" spans="3:5" x14ac:dyDescent="0.25">
      <c r="C1" s="1" t="s">
        <v>143</v>
      </c>
      <c r="D1" s="2"/>
    </row>
    <row r="2" spans="3:5" x14ac:dyDescent="0.25">
      <c r="C2" s="3" t="s">
        <v>1</v>
      </c>
      <c r="D2" s="2" t="s">
        <v>2</v>
      </c>
    </row>
    <row r="3" spans="3:5" ht="15.75" x14ac:dyDescent="0.25">
      <c r="C3" s="4" t="s">
        <v>3</v>
      </c>
      <c r="D3" s="17">
        <f>SUM(D4:D5)</f>
        <v>5.9272500000000177</v>
      </c>
      <c r="E3" s="17"/>
    </row>
    <row r="4" spans="3:5" ht="15.75" x14ac:dyDescent="0.25">
      <c r="C4" s="4" t="s">
        <v>4</v>
      </c>
      <c r="D4" s="17">
        <v>1.625709999999998</v>
      </c>
      <c r="E4" s="17"/>
    </row>
    <row r="5" spans="3:5" ht="15.75" x14ac:dyDescent="0.25">
      <c r="C5" s="4" t="s">
        <v>5</v>
      </c>
      <c r="D5" s="17">
        <f>1.61154000000002+2.69</f>
        <v>4.3015400000000197</v>
      </c>
      <c r="E5" s="17"/>
    </row>
    <row r="6" spans="3:5" ht="15.75" x14ac:dyDescent="0.25">
      <c r="C6" s="4"/>
      <c r="D6" s="17">
        <v>0</v>
      </c>
      <c r="E6" s="17"/>
    </row>
    <row r="7" spans="3:5" ht="15.75" x14ac:dyDescent="0.25">
      <c r="C7" s="4" t="s">
        <v>6</v>
      </c>
      <c r="D7" s="17">
        <f>SUM(D8:D9)</f>
        <v>0</v>
      </c>
      <c r="E7" s="17"/>
    </row>
    <row r="8" spans="3:5" ht="15.75" x14ac:dyDescent="0.25">
      <c r="C8" s="4" t="s">
        <v>7</v>
      </c>
      <c r="D8" s="17">
        <v>0</v>
      </c>
      <c r="E8" s="17"/>
    </row>
    <row r="9" spans="3:5" ht="15.75" x14ac:dyDescent="0.25">
      <c r="C9" s="4" t="s">
        <v>8</v>
      </c>
      <c r="D9" s="17">
        <v>0</v>
      </c>
      <c r="E9" s="17"/>
    </row>
    <row r="10" spans="3:5" ht="15.75" x14ac:dyDescent="0.25">
      <c r="C10" s="4"/>
      <c r="D10" s="17">
        <v>0</v>
      </c>
      <c r="E10" s="17"/>
    </row>
    <row r="11" spans="3:5" ht="15.75" x14ac:dyDescent="0.25">
      <c r="C11" s="4" t="s">
        <v>9</v>
      </c>
      <c r="D11" s="17">
        <f>SUM(D12:D14)</f>
        <v>0</v>
      </c>
      <c r="E11" s="17"/>
    </row>
    <row r="12" spans="3:5" ht="15.75" x14ac:dyDescent="0.25">
      <c r="C12" s="4" t="s">
        <v>10</v>
      </c>
      <c r="D12" s="17">
        <v>0</v>
      </c>
      <c r="E12" s="17"/>
    </row>
    <row r="13" spans="3:5" ht="15.75" x14ac:dyDescent="0.25">
      <c r="C13" s="4" t="s">
        <v>11</v>
      </c>
      <c r="D13" s="17">
        <v>0</v>
      </c>
      <c r="E13" s="17"/>
    </row>
    <row r="14" spans="3:5" ht="15.75" x14ac:dyDescent="0.25">
      <c r="C14" s="4" t="s">
        <v>12</v>
      </c>
      <c r="D14" s="17">
        <v>0</v>
      </c>
      <c r="E14" s="17"/>
    </row>
    <row r="15" spans="3:5" ht="15.75" x14ac:dyDescent="0.25">
      <c r="C15" s="4"/>
      <c r="D15" s="17"/>
      <c r="E15" s="17"/>
    </row>
    <row r="16" spans="3:5" ht="15.75" x14ac:dyDescent="0.25">
      <c r="C16" s="4" t="s">
        <v>13</v>
      </c>
      <c r="D16" s="17">
        <f>SUM(D17:D25)</f>
        <v>2.0305960000000001</v>
      </c>
      <c r="E16" s="17"/>
    </row>
    <row r="17" spans="3:5" ht="15.75" x14ac:dyDescent="0.25">
      <c r="C17" s="4" t="s">
        <v>14</v>
      </c>
      <c r="D17" s="17">
        <v>0</v>
      </c>
      <c r="E17" s="17"/>
    </row>
    <row r="18" spans="3:5" ht="15.75" x14ac:dyDescent="0.25">
      <c r="C18" s="4" t="s">
        <v>15</v>
      </c>
      <c r="D18" s="17">
        <v>0</v>
      </c>
      <c r="E18" s="17"/>
    </row>
    <row r="19" spans="3:5" ht="15.75" x14ac:dyDescent="0.25">
      <c r="C19" s="4" t="s">
        <v>16</v>
      </c>
      <c r="D19" s="17">
        <v>0</v>
      </c>
      <c r="E19" s="17"/>
    </row>
    <row r="20" spans="3:5" ht="15.75" x14ac:dyDescent="0.25">
      <c r="C20" s="4" t="s">
        <v>17</v>
      </c>
      <c r="D20" s="17">
        <v>0</v>
      </c>
      <c r="E20" s="17"/>
    </row>
    <row r="21" spans="3:5" ht="15.75" x14ac:dyDescent="0.25">
      <c r="C21" s="4" t="s">
        <v>18</v>
      </c>
      <c r="D21" s="17">
        <v>0</v>
      </c>
      <c r="E21" s="17"/>
    </row>
    <row r="22" spans="3:5" ht="15.75" x14ac:dyDescent="0.25">
      <c r="C22" s="4" t="s">
        <v>19</v>
      </c>
      <c r="D22" s="17">
        <f>1.140596+0.89</f>
        <v>2.0305960000000001</v>
      </c>
      <c r="E22" s="17"/>
    </row>
    <row r="23" spans="3:5" ht="15.75" x14ac:dyDescent="0.25">
      <c r="C23" s="4" t="s">
        <v>20</v>
      </c>
      <c r="D23" s="17">
        <v>0</v>
      </c>
      <c r="E23" s="17"/>
    </row>
    <row r="24" spans="3:5" ht="15.75" x14ac:dyDescent="0.25">
      <c r="C24" s="4" t="s">
        <v>21</v>
      </c>
      <c r="D24" s="17">
        <v>0</v>
      </c>
    </row>
    <row r="25" spans="3:5" ht="15.75" x14ac:dyDescent="0.25">
      <c r="C25" s="4" t="s">
        <v>22</v>
      </c>
      <c r="D25" s="17">
        <v>0</v>
      </c>
    </row>
    <row r="26" spans="3:5" ht="15.75" x14ac:dyDescent="0.25">
      <c r="C26" s="4"/>
      <c r="D26" s="17"/>
    </row>
    <row r="27" spans="3:5" ht="15.75" x14ac:dyDescent="0.25">
      <c r="C27" s="4" t="s">
        <v>23</v>
      </c>
      <c r="D27" s="17">
        <v>0</v>
      </c>
    </row>
    <row r="28" spans="3:5" ht="15.75" x14ac:dyDescent="0.25">
      <c r="C28" s="4" t="s">
        <v>24</v>
      </c>
      <c r="D28" s="17"/>
    </row>
    <row r="29" spans="3:5" ht="15.75" x14ac:dyDescent="0.25">
      <c r="C29" s="4" t="s">
        <v>25</v>
      </c>
      <c r="D29" s="17"/>
    </row>
    <row r="30" spans="3:5" ht="15.75" x14ac:dyDescent="0.25">
      <c r="C30" s="4"/>
      <c r="D30" s="17"/>
    </row>
    <row r="31" spans="3:5" ht="15.75" x14ac:dyDescent="0.25">
      <c r="C31" s="4" t="s">
        <v>26</v>
      </c>
      <c r="D31" s="17">
        <f>D3+D7+D16+D11+D27</f>
        <v>7.9578460000000177</v>
      </c>
    </row>
    <row r="32" spans="3:5" ht="15.75" x14ac:dyDescent="0.25">
      <c r="C32" s="4"/>
    </row>
    <row r="33" spans="3:4" ht="15.75" x14ac:dyDescent="0.25">
      <c r="C33" s="4" t="s">
        <v>27</v>
      </c>
    </row>
    <row r="34" spans="3:4" ht="15.75" x14ac:dyDescent="0.25">
      <c r="C34" s="4" t="s">
        <v>28</v>
      </c>
      <c r="D34" s="6">
        <f>(D12+D16+D29)/D41</f>
        <v>7.0395978252603875E-5</v>
      </c>
    </row>
    <row r="35" spans="3:4" ht="15.75" x14ac:dyDescent="0.25">
      <c r="C35" s="4" t="s">
        <v>29</v>
      </c>
      <c r="D35" s="6">
        <f>D31/D41</f>
        <v>2.7587976828161387E-4</v>
      </c>
    </row>
    <row r="36" spans="3:4" ht="15.75" x14ac:dyDescent="0.25">
      <c r="C36" s="4"/>
    </row>
    <row r="37" spans="3:4" ht="15.75" x14ac:dyDescent="0.25">
      <c r="C37" s="4" t="s">
        <v>30</v>
      </c>
      <c r="D37" s="5">
        <f>(D39+D41)/2</f>
        <v>29130.292460921002</v>
      </c>
    </row>
    <row r="39" spans="3:4" x14ac:dyDescent="0.25">
      <c r="C39" s="7" t="s">
        <v>31</v>
      </c>
      <c r="D39" s="5">
        <v>29415.243889524001</v>
      </c>
    </row>
    <row r="41" spans="3:4" x14ac:dyDescent="0.25">
      <c r="C41" s="7" t="s">
        <v>32</v>
      </c>
      <c r="D41" s="5">
        <v>28845.341032318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נספח 1</vt:lpstr>
      <vt:lpstr>נספח 2</vt:lpstr>
      <vt:lpstr>נספח 3</vt:lpstr>
      <vt:lpstr>כללי</vt:lpstr>
      <vt:lpstr>ללא מניות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Porat Yaniv</dc:creator>
  <cp:lastModifiedBy>Even-ezra Yael</cp:lastModifiedBy>
  <dcterms:created xsi:type="dcterms:W3CDTF">2024-02-07T10:29:07Z</dcterms:created>
  <dcterms:modified xsi:type="dcterms:W3CDTF">2024-03-28T12:34:00Z</dcterms:modified>
</cp:coreProperties>
</file>